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<sst xmlns="http://schemas.openxmlformats.org/spreadsheetml/2006/main" count="1600" uniqueCount="315">
  <si>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</si>
  <si>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</si>
  <si>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</si>
  <si>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</si>
  <si>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</si>
  <si>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</si>
  <si>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</si>
  <si>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</si>
  <si>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</si>
  <si>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</si>
  <si>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</si>
  <si>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</si>
  <si>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</si>
  <si>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</si>
  <si>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</si>
  <si>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</si>
  <si>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</si>
  <si>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</si>
  <si>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</si>
  <si>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</si>
  <si>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</si>
  <si>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</si>
  <si>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</si>
  <si>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</si>
  <si>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</si>
  <si>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</si>
  <si>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</si>
  <si>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</si>
  <si>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</si>
  <si>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</si>
  <si>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</si>
  <si>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</si>
  <si>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</si>
  <si>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</si>
  <si>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</si>
  <si>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</si>
  <si>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</si>
  <si>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</si>
  <si>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</si>
  <si>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</si>
  <si>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</si>
  <si>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</si>
  <si>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</si>
  <si>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</si>
  <si>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</si>
  <si>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</si>
  <si>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</si>
  <si>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</si>
  <si>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</si>
  <si>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</si>
  <si>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</si>
  <si>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</si>
  <si>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</si>
  <si>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</si>
  <si>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</si>
  <si>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</si>
  <si>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</si>
  <si>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</si>
  <si>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</si>
  <si>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</si>
  <si>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</si>
  <si>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</si>
  <si>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</si>
  <si>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</si>
  <si>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</si>
  <si>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</si>
  <si>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</si>
  <si>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</si>
  <si>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</si>
  <si>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</si>
  <si>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</si>
  <si>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</si>
  <si>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</si>
  <si>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</si>
  <si>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</si>
  <si>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</si>
  <si>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</si>
  <si>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</si>
  <si>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</si>
  <si>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</si>
  <si>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</si>
  <si>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</si>
  <si>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</si>
  <si>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</si>
  <si>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</si>
  <si>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</si>
  <si>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</si>
  <si>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</si>
  <si>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</si>
  <si>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</si>
  <si>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</si>
  <si>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</si>
  <si>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</si>
  <si>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</si>
  <si>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</si>
  <si>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</si>
  <si>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</si>
  <si>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</si>
  <si>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</si>
  <si>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</si>
  <si>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</si>
  <si>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</si>
  <si>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</si>
  <si>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</si>
  <si>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</si>
  <si>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</si>
  <si>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</si>
  <si>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</si>
  <si>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</si>
  <si>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</si>
  <si>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</si>
  <si>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</si>
  <si>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</si>
  <si>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</si>
  <si>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</si>
  <si>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</si>
  <si>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</si>
  <si>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</si>
  <si>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</si>
  <si>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</si>
  <si>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</si>
  <si>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</si>
  <si>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</si>
  <si>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</si>
  <si>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</si>
  <si>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</si>
  <si>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</si>
  <si>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</si>
  <si>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</si>
  <si>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</si>
  <si>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</si>
  <si>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</si>
  <si>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</si>
  <si>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</si>
  <si>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</si>
  <si>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</si>
  <si>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</si>
  <si>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</si>
  <si>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</si>
  <si>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</si>
  <si>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</si>
  <si>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</si>
  <si>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</si>
  <si>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</si>
  <si>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</si>
  <si>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</si>
  <si>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</si>
  <si>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</si>
  <si>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</si>
  <si>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</si>
  <si>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</si>
  <si>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</si>
  <si>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</si>
  <si>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</si>
  <si>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</si>
  <si>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</si>
  <si>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</si>
  <si>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</si>
  <si>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</si>
  <si>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</si>
  <si>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</si>
  <si>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</si>
  <si>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</si>
  <si>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</si>
  <si>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</si>
  <si>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</si>
  <si>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</si>
  <si>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</si>
  <si>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</si>
  <si>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</si>
  <si>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</si>
  <si>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</si>
  <si>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</si>
  <si>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</si>
  <si>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</si>
  <si>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</si>
  <si>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</si>
  <si>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</si>
  <si>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</si>
  <si>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</si>
  <si>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</si>
  <si>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</si>
  <si>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</si>
  <si>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</si>
  <si>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</si>
  <si>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</si>
  <si>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</si>
  <si>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</si>
  <si>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</si>
  <si>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</si>
  <si>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</si>
  <si>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</si>
  <si>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</si>
  <si>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</si>
  <si>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</si>
  <si>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</si>
  <si>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</si>
  <si>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</si>
  <si>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</si>
  <si>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</si>
  <si>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</si>
  <si>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</si>
  <si>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</si>
  <si>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</si>
  <si>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</si>
  <si>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</si>
  <si>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</si>
  <si>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</si>
  <si>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</si>
  <si>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</si>
  <si>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</si>
  <si>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</si>
  <si>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</si>
  <si>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</si>
  <si>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</si>
  <si>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</si>
  <si>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</si>
  <si>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</si>
  <si>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</si>
  <si>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</si>
  <si>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</si>
  <si>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</si>
  <si>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</si>
  <si>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</si>
  <si>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</si>
  <si>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</si>
  <si>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</si>
  <si>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</si>
  <si>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</si>
  <si>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</si>
  <si>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</si>
  <si>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</si>
  <si>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</si>
  <si>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</si>
  <si>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</si>
  <si>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</si>
  <si>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</si>
  <si>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</si>
  <si>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</si>
  <si>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</si>
  <si>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</si>
  <si>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</si>
  <si>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</si>
  <si>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</si>
  <si>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</si>
  <si>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</si>
  <si>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</si>
  <si>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</si>
  <si>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</si>
  <si>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</si>
  <si>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</si>
  <si>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</si>
  <si>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</si>
  <si>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</si>
  <si>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</si>
  <si>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</si>
  <si>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</si>
  <si>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</si>
  <si>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</si>
  <si>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</si>
  <si>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</si>
  <si>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</si>
  <si>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</si>
  <si>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</si>
  <si>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</si>
  <si>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</si>
  <si>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</si>
  <si>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</si>
  <si>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</si>
  <si>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</si>
  <si>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</si>
  <si>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</si>
  <si>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</si>
  <si>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</si>
  <si>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</si>
  <si>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</si>
  <si>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</si>
  <si>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</si>
  <si>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</si>
  <si>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</si>
  <si>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</si>
  <si>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</si>
  <si>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</si>
  <si>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</si>
  <si>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</si>
  <si>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</si>
  <si>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</si>
  <si>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</si>
  <si>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</si>
  <si>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</si>
  <si>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</si>
  <si>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</si>
  <si>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</si>
  <si>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</si>
  <si>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</si>
  <si>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</si>
  <si>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</si>
  <si>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</si>
  <si>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</si>
  <si>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</si>
  <si>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</si>
  <si>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</si>
  <si>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</si>
  <si>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</si>
  <si>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</si>
  <si>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</si>
  <si>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</si>
  <si>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</si>
  <si>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</si>
  <si>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</si>
  <si>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</si>
  <si>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</si>
  <si>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</si>
  <si>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07.10.2015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</si>
  <si>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06.10.15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</si>
</sst>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313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311</v>
      </c>
      <c r="N3" s="262" t="s">
        <v>312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307</v>
      </c>
      <c r="F4" s="245" t="s">
        <v>116</v>
      </c>
      <c r="G4" s="247" t="s">
        <v>308</v>
      </c>
      <c r="H4" s="249" t="s">
        <v>309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314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310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485895.7700000001</v>
      </c>
      <c r="G8" s="18">
        <f aca="true" t="shared" si="0" ref="G8:G54">F8-E8</f>
        <v>-17629.699999999953</v>
      </c>
      <c r="H8" s="45">
        <f>F8/E8*100</f>
        <v>96.49874712395385</v>
      </c>
      <c r="I8" s="31">
        <f aca="true" t="shared" si="1" ref="I8:I54">F8-D8</f>
        <v>-86393.22999999992</v>
      </c>
      <c r="J8" s="31">
        <f aca="true" t="shared" si="2" ref="J8:J14">F8/D8*100</f>
        <v>84.90391567896641</v>
      </c>
      <c r="K8" s="18">
        <f>K9+K15+K18+K19+K20+K32</f>
        <v>84670.97800000003</v>
      </c>
      <c r="L8" s="18"/>
      <c r="M8" s="18">
        <f>M9+M15+M18+M19+M20+M32+M17</f>
        <v>44772.97000000001</v>
      </c>
      <c r="N8" s="18">
        <f>N9+N15+N18+N19+N20+N32+N17</f>
        <v>5016.520000000057</v>
      </c>
      <c r="O8" s="31">
        <f aca="true" t="shared" si="3" ref="O8:O54">N8-M8</f>
        <v>-39756.44999999995</v>
      </c>
      <c r="P8" s="31">
        <f>F8/M8*100</f>
        <v>1085.2435520806414</v>
      </c>
      <c r="Q8" s="31">
        <f>N8-33748.16</f>
        <v>-28731.63999999995</v>
      </c>
      <c r="R8" s="125">
        <f>N8/33748.16</f>
        <v>0.1486457335748099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268151.84</v>
      </c>
      <c r="G9" s="43">
        <f t="shared" si="0"/>
        <v>-1713.2799999999697</v>
      </c>
      <c r="H9" s="35">
        <f aca="true" t="shared" si="4" ref="H9:H32">F9/E9*100</f>
        <v>99.3651347013649</v>
      </c>
      <c r="I9" s="50">
        <f t="shared" si="1"/>
        <v>-44538.159999999974</v>
      </c>
      <c r="J9" s="50">
        <f t="shared" si="2"/>
        <v>85.75644887908153</v>
      </c>
      <c r="K9" s="132">
        <f>F9-316022.19/75*60</f>
        <v>15334.088000000018</v>
      </c>
      <c r="L9" s="132">
        <f>F9/(316022.19/75*60)*100</f>
        <v>106.06527345437358</v>
      </c>
      <c r="M9" s="35">
        <f>E9-вересень!E9</f>
        <v>21250.570000000007</v>
      </c>
      <c r="N9" s="35">
        <f>F9-вересень!F9</f>
        <v>3776.430000000051</v>
      </c>
      <c r="O9" s="47">
        <f t="shared" si="3"/>
        <v>-17474.139999999956</v>
      </c>
      <c r="P9" s="50">
        <f aca="true" t="shared" si="5" ref="P9:P32">N9/M9*100</f>
        <v>17.770958614286815</v>
      </c>
      <c r="Q9" s="132">
        <f>N9-26568.11</f>
        <v>-22791.67999999995</v>
      </c>
      <c r="R9" s="133">
        <f>N9/26568.11</f>
        <v>0.1421414620761526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237251.9</v>
      </c>
      <c r="G10" s="135">
        <f t="shared" si="0"/>
        <v>1291.0799999999872</v>
      </c>
      <c r="H10" s="137">
        <f t="shared" si="4"/>
        <v>100.54715863421733</v>
      </c>
      <c r="I10" s="136">
        <f t="shared" si="1"/>
        <v>-3158.100000000006</v>
      </c>
      <c r="J10" s="136">
        <f t="shared" si="2"/>
        <v>98.68636911942099</v>
      </c>
      <c r="K10" s="138">
        <f>F10-281171.58/75*60</f>
        <v>12314.635999999999</v>
      </c>
      <c r="L10" s="138">
        <f>F10/(281171.58/75*60)*100</f>
        <v>105.47469804736312</v>
      </c>
      <c r="M10" s="137">
        <f>E10-вересень!E10</f>
        <v>17470.570000000007</v>
      </c>
      <c r="N10" s="137">
        <f>F10-вересень!F10</f>
        <v>3315.4199999999837</v>
      </c>
      <c r="O10" s="138">
        <f t="shared" si="3"/>
        <v>-14155.150000000023</v>
      </c>
      <c r="P10" s="136">
        <f t="shared" si="5"/>
        <v>18.977171322973334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14021.84</v>
      </c>
      <c r="G11" s="135">
        <f t="shared" si="0"/>
        <v>-4896.060000000001</v>
      </c>
      <c r="H11" s="137">
        <f t="shared" si="4"/>
        <v>74.1194318608302</v>
      </c>
      <c r="I11" s="136">
        <f t="shared" si="1"/>
        <v>-9678.16</v>
      </c>
      <c r="J11" s="136">
        <f t="shared" si="2"/>
        <v>59.16388185654009</v>
      </c>
      <c r="K11" s="138">
        <f>F11-21169.22/75*60</f>
        <v>-2913.5360000000037</v>
      </c>
      <c r="L11" s="138">
        <f>F11/(21169.22/75*60)*100</f>
        <v>82.79615403874114</v>
      </c>
      <c r="M11" s="137">
        <f>E11-вересень!E11</f>
        <v>2130</v>
      </c>
      <c r="N11" s="137">
        <f>F11-вересень!F11</f>
        <v>19.149999999999636</v>
      </c>
      <c r="O11" s="138">
        <f t="shared" si="3"/>
        <v>-2110.8500000000004</v>
      </c>
      <c r="P11" s="136">
        <f t="shared" si="5"/>
        <v>0.8990610328638327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3837.76</v>
      </c>
      <c r="G12" s="135">
        <f t="shared" si="0"/>
        <v>-611.2399999999998</v>
      </c>
      <c r="H12" s="137">
        <f t="shared" si="4"/>
        <v>86.26118228815464</v>
      </c>
      <c r="I12" s="136">
        <f t="shared" si="1"/>
        <v>-1962.2399999999998</v>
      </c>
      <c r="J12" s="136">
        <f t="shared" si="2"/>
        <v>66.16827586206897</v>
      </c>
      <c r="K12" s="138">
        <f>F12-5687.46/75*60</f>
        <v>-712.2080000000005</v>
      </c>
      <c r="L12" s="138">
        <f>F12/(5687.46*60)*100</f>
        <v>1.1246262244774763</v>
      </c>
      <c r="M12" s="137">
        <f>E12-вересень!E12</f>
        <v>540</v>
      </c>
      <c r="N12" s="137">
        <f>F12-вересень!F12</f>
        <v>93.12000000000035</v>
      </c>
      <c r="O12" s="138">
        <f t="shared" si="3"/>
        <v>-446.87999999999965</v>
      </c>
      <c r="P12" s="136">
        <f t="shared" si="5"/>
        <v>17.24444444444451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5762.03</v>
      </c>
      <c r="G13" s="135">
        <f t="shared" si="0"/>
        <v>-1181.37</v>
      </c>
      <c r="H13" s="137">
        <f t="shared" si="4"/>
        <v>82.98571305124291</v>
      </c>
      <c r="I13" s="136">
        <f t="shared" si="1"/>
        <v>-2637.9700000000003</v>
      </c>
      <c r="J13" s="136">
        <f t="shared" si="2"/>
        <v>68.59559523809523</v>
      </c>
      <c r="K13" s="138">
        <f>F13-7878.81/75*60</f>
        <v>-541.0180000000009</v>
      </c>
      <c r="L13" s="138">
        <f>F13/(7878.81/75*60)*100</f>
        <v>91.416565445797</v>
      </c>
      <c r="M13" s="137">
        <f>E13-вересень!E13</f>
        <v>720</v>
      </c>
      <c r="N13" s="137">
        <f>F13-вересень!F13</f>
        <v>31.789999999999964</v>
      </c>
      <c r="O13" s="138">
        <f t="shared" si="3"/>
        <v>-688.21</v>
      </c>
      <c r="P13" s="136">
        <f t="shared" si="5"/>
        <v>4.4152777777777725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7278.3</v>
      </c>
      <c r="G14" s="135">
        <f t="shared" si="0"/>
        <v>3684.3</v>
      </c>
      <c r="H14" s="137">
        <f t="shared" si="4"/>
        <v>202.5125208681135</v>
      </c>
      <c r="I14" s="136">
        <f t="shared" si="1"/>
        <v>2898.3</v>
      </c>
      <c r="J14" s="136">
        <f t="shared" si="2"/>
        <v>166.17123287671234</v>
      </c>
      <c r="K14" s="138">
        <f>F14-115.12/75*60</f>
        <v>7186.204</v>
      </c>
      <c r="L14" s="138">
        <f>F14/(115.12/75*60)*100</f>
        <v>7902.949096594857</v>
      </c>
      <c r="M14" s="137">
        <f>E14-вересень!E14</f>
        <v>390</v>
      </c>
      <c r="N14" s="137">
        <f>F14-вересень!F14</f>
        <v>316.9400000000005</v>
      </c>
      <c r="O14" s="138">
        <f t="shared" si="3"/>
        <v>-73.05999999999949</v>
      </c>
      <c r="P14" s="136">
        <f t="shared" si="5"/>
        <v>81.2666666666668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F15-(-880.89)</f>
        <v>214.19999999999993</v>
      </c>
      <c r="L15" s="53">
        <f>F15/(-880.89)*100</f>
        <v>75.68368354732146</v>
      </c>
      <c r="M15" s="35">
        <f>E15-вересень!E15</f>
        <v>0</v>
      </c>
      <c r="N15" s="35">
        <f>F15-вересень!F15</f>
        <v>0</v>
      </c>
      <c r="O15" s="47">
        <f t="shared" si="3"/>
        <v>0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F16-(-381.9)</f>
        <v>-784.0200000000001</v>
      </c>
      <c r="L16" s="138">
        <f>F16/(-381.9)*100</f>
        <v>305.2945797329144</v>
      </c>
      <c r="M16" s="35">
        <f>E16-вересень!E16</f>
        <v>0</v>
      </c>
      <c r="N16" s="35">
        <f>F16-вересень!F16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F17-0.04</f>
        <v>0.049999999999999996</v>
      </c>
      <c r="L17" s="138"/>
      <c r="M17" s="35">
        <f>E17-вересень!E17</f>
        <v>0</v>
      </c>
      <c r="N17" s="35">
        <f>F17-вересень!F17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51477.89</v>
      </c>
      <c r="G19" s="43">
        <f t="shared" si="0"/>
        <v>-6044.860000000001</v>
      </c>
      <c r="H19" s="35">
        <f t="shared" si="4"/>
        <v>89.4913577671443</v>
      </c>
      <c r="I19" s="50">
        <f t="shared" si="1"/>
        <v>-10732.11</v>
      </c>
      <c r="J19" s="178">
        <f>F19/D19*100</f>
        <v>82.74857739913197</v>
      </c>
      <c r="K19" s="179">
        <f>F19-0</f>
        <v>51477.89</v>
      </c>
      <c r="L19" s="180"/>
      <c r="M19" s="35">
        <f>E19-вересень!E19</f>
        <v>6800</v>
      </c>
      <c r="N19" s="35">
        <f>F19-вересень!F19</f>
        <v>9.019999999996799</v>
      </c>
      <c r="O19" s="47">
        <f t="shared" si="3"/>
        <v>-6790.980000000003</v>
      </c>
      <c r="P19" s="50">
        <f t="shared" si="5"/>
        <v>0.13264705882348232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161337.1</v>
      </c>
      <c r="G20" s="43">
        <f t="shared" si="0"/>
        <v>-8856.799999999988</v>
      </c>
      <c r="H20" s="35">
        <f t="shared" si="4"/>
        <v>94.79605320754739</v>
      </c>
      <c r="I20" s="50">
        <f t="shared" si="1"/>
        <v>-28532.899999999994</v>
      </c>
      <c r="J20" s="178">
        <f aca="true" t="shared" si="6" ref="J20:J46">F20/D20*100</f>
        <v>84.97240216990572</v>
      </c>
      <c r="K20" s="178">
        <f>K21+K25+K26+K27</f>
        <v>19431.530000000006</v>
      </c>
      <c r="L20" s="136"/>
      <c r="M20" s="35">
        <f>E20-вересень!E20</f>
        <v>16715.5</v>
      </c>
      <c r="N20" s="35">
        <f>F20-вересень!F20</f>
        <v>1230.5100000000093</v>
      </c>
      <c r="O20" s="47">
        <f t="shared" si="3"/>
        <v>-15484.98999999999</v>
      </c>
      <c r="P20" s="50">
        <f t="shared" si="5"/>
        <v>7.361490831862698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89273.28</v>
      </c>
      <c r="G21" s="43">
        <f t="shared" si="0"/>
        <v>-7009.119999999995</v>
      </c>
      <c r="H21" s="35">
        <f t="shared" si="4"/>
        <v>92.72024793731772</v>
      </c>
      <c r="I21" s="50">
        <f t="shared" si="1"/>
        <v>-21026.72</v>
      </c>
      <c r="J21" s="178">
        <f t="shared" si="6"/>
        <v>80.93679057116954</v>
      </c>
      <c r="K21" s="178">
        <f>K22+K23+K24</f>
        <v>20569.44000000001</v>
      </c>
      <c r="L21" s="136"/>
      <c r="M21" s="35">
        <f>E21-вересень!E21</f>
        <v>10382</v>
      </c>
      <c r="N21" s="35">
        <f>F21-вересень!F21</f>
        <v>293.9600000000064</v>
      </c>
      <c r="O21" s="47">
        <f t="shared" si="3"/>
        <v>-10088.039999999994</v>
      </c>
      <c r="P21" s="50">
        <f t="shared" si="5"/>
        <v>2.831439029088869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9181.27</v>
      </c>
      <c r="G22" s="135">
        <f t="shared" si="0"/>
        <v>-1464.1299999999992</v>
      </c>
      <c r="H22" s="137">
        <f t="shared" si="4"/>
        <v>86.24635993011066</v>
      </c>
      <c r="I22" s="136">
        <f t="shared" si="1"/>
        <v>-1518.7299999999996</v>
      </c>
      <c r="J22" s="136">
        <f t="shared" si="6"/>
        <v>85.80626168224299</v>
      </c>
      <c r="K22" s="136">
        <f>F22-437</f>
        <v>8744.27</v>
      </c>
      <c r="L22" s="136">
        <f>F22/437*100</f>
        <v>2100.977116704805</v>
      </c>
      <c r="M22" s="137">
        <f>E22-вересень!E22</f>
        <v>1851</v>
      </c>
      <c r="N22" s="137">
        <f>F22-вересень!F22</f>
        <v>49.590000000000146</v>
      </c>
      <c r="O22" s="138">
        <f t="shared" si="3"/>
        <v>-1801.4099999999999</v>
      </c>
      <c r="P22" s="136">
        <f t="shared" si="5"/>
        <v>2.679092382495956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3336.16</v>
      </c>
      <c r="G23" s="135">
        <f t="shared" si="0"/>
        <v>1244.1599999999999</v>
      </c>
      <c r="H23" s="137">
        <f t="shared" si="4"/>
        <v>159.472275334608</v>
      </c>
      <c r="I23" s="136">
        <f t="shared" si="1"/>
        <v>1236.1599999999999</v>
      </c>
      <c r="J23" s="136">
        <f t="shared" si="6"/>
        <v>158.8647619047619</v>
      </c>
      <c r="K23" s="136">
        <f>F23-0</f>
        <v>3336.16</v>
      </c>
      <c r="L23" s="136"/>
      <c r="M23" s="137">
        <f>E23-вересень!E23</f>
        <v>305</v>
      </c>
      <c r="N23" s="137">
        <f>F23-вересень!F23</f>
        <v>2.5299999999997453</v>
      </c>
      <c r="O23" s="138">
        <f t="shared" si="3"/>
        <v>-302.47000000000025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76755.85</v>
      </c>
      <c r="G24" s="135">
        <f t="shared" si="0"/>
        <v>-6789.149999999994</v>
      </c>
      <c r="H24" s="137">
        <f t="shared" si="4"/>
        <v>91.87366090131069</v>
      </c>
      <c r="I24" s="136">
        <f t="shared" si="1"/>
        <v>-20744.149999999994</v>
      </c>
      <c r="J24" s="136">
        <f t="shared" si="6"/>
        <v>78.72394871794872</v>
      </c>
      <c r="K24" s="224">
        <f>F24-68266.84</f>
        <v>8489.01000000001</v>
      </c>
      <c r="L24" s="224">
        <f>F24/68266.84*100</f>
        <v>112.43504166883953</v>
      </c>
      <c r="M24" s="137">
        <f>E24-вересень!E24</f>
        <v>8226</v>
      </c>
      <c r="N24" s="137">
        <f>F24-вересень!F24</f>
        <v>241.84000000001106</v>
      </c>
      <c r="O24" s="138">
        <f t="shared" si="3"/>
        <v>-7984.159999999989</v>
      </c>
      <c r="P24" s="136">
        <f t="shared" si="5"/>
        <v>2.9399465110626193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55.85</v>
      </c>
      <c r="G25" s="43">
        <f t="shared" si="0"/>
        <v>4.350000000000001</v>
      </c>
      <c r="H25" s="35">
        <f t="shared" si="4"/>
        <v>108.44660194174757</v>
      </c>
      <c r="I25" s="50">
        <f t="shared" si="1"/>
        <v>-14.149999999999999</v>
      </c>
      <c r="J25" s="178">
        <f t="shared" si="6"/>
        <v>79.78571428571429</v>
      </c>
      <c r="K25" s="178">
        <f>F25-48.79</f>
        <v>7.060000000000002</v>
      </c>
      <c r="L25" s="178">
        <f>F25/48.79*100</f>
        <v>114.47017831522854</v>
      </c>
      <c r="M25" s="35">
        <f>E25-вересень!E25</f>
        <v>10</v>
      </c>
      <c r="N25" s="35">
        <f>F25-вересень!F25</f>
        <v>0</v>
      </c>
      <c r="O25" s="47">
        <f t="shared" si="3"/>
        <v>-10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-706.96</v>
      </c>
      <c r="G26" s="43">
        <f t="shared" si="0"/>
        <v>-706.96</v>
      </c>
      <c r="H26" s="35"/>
      <c r="I26" s="50">
        <f t="shared" si="1"/>
        <v>-706.96</v>
      </c>
      <c r="J26" s="136"/>
      <c r="K26" s="178">
        <f>F26-5295.66</f>
        <v>-6002.62</v>
      </c>
      <c r="L26" s="178">
        <f>F26/5295.66*100</f>
        <v>-13.349799647258322</v>
      </c>
      <c r="M26" s="35">
        <f>E26-вересень!E26</f>
        <v>0</v>
      </c>
      <c r="N26" s="35">
        <f>F26-вересень!F26</f>
        <v>-0.9800000000000182</v>
      </c>
      <c r="O26" s="47">
        <f t="shared" si="3"/>
        <v>-0.9800000000000182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72714.93</v>
      </c>
      <c r="G27" s="43">
        <f t="shared" si="0"/>
        <v>-1145.070000000007</v>
      </c>
      <c r="H27" s="35">
        <f t="shared" si="4"/>
        <v>98.44967506092607</v>
      </c>
      <c r="I27" s="50">
        <f t="shared" si="1"/>
        <v>-6785.070000000007</v>
      </c>
      <c r="J27" s="178">
        <f t="shared" si="6"/>
        <v>91.46532075471697</v>
      </c>
      <c r="K27" s="132">
        <f>F27-67857.28</f>
        <v>4857.649999999994</v>
      </c>
      <c r="L27" s="132">
        <f>F27/67857.28*100</f>
        <v>107.15862763729993</v>
      </c>
      <c r="M27" s="35">
        <f>E27-вересень!E27</f>
        <v>6323.5</v>
      </c>
      <c r="N27" s="35">
        <f>F27-вересень!F27</f>
        <v>937.5299999999988</v>
      </c>
      <c r="O27" s="47">
        <f t="shared" si="3"/>
        <v>-5385.970000000001</v>
      </c>
      <c r="P27" s="50">
        <f t="shared" si="5"/>
        <v>14.826124772673344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17850.61</v>
      </c>
      <c r="G29" s="135">
        <f t="shared" si="0"/>
        <v>-229.38999999999942</v>
      </c>
      <c r="H29" s="137">
        <f t="shared" si="4"/>
        <v>98.73125</v>
      </c>
      <c r="I29" s="136">
        <f t="shared" si="1"/>
        <v>-1349.3899999999994</v>
      </c>
      <c r="J29" s="136">
        <f t="shared" si="6"/>
        <v>92.97192708333334</v>
      </c>
      <c r="K29" s="139">
        <f>F29-18415.97</f>
        <v>-565.3600000000006</v>
      </c>
      <c r="L29" s="139">
        <f>F29/18415.97*100</f>
        <v>96.93005581568606</v>
      </c>
      <c r="M29" s="137">
        <f>E29-вересень!E29</f>
        <v>1300</v>
      </c>
      <c r="N29" s="137">
        <f>F29-вересень!F29</f>
        <v>110.85000000000218</v>
      </c>
      <c r="O29" s="138">
        <f t="shared" si="3"/>
        <v>-1189.1499999999978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54842.66</v>
      </c>
      <c r="G30" s="135">
        <f t="shared" si="0"/>
        <v>-937.3399999999965</v>
      </c>
      <c r="H30" s="137">
        <f t="shared" si="4"/>
        <v>98.31957690928648</v>
      </c>
      <c r="I30" s="136">
        <f t="shared" si="1"/>
        <v>-5457.3399999999965</v>
      </c>
      <c r="J30" s="136">
        <f t="shared" si="6"/>
        <v>90.9496849087894</v>
      </c>
      <c r="K30" s="139">
        <f>F30-49440.11</f>
        <v>5402.550000000003</v>
      </c>
      <c r="L30" s="139">
        <f>F30/49440.11*100</f>
        <v>110.92746355135536</v>
      </c>
      <c r="M30" s="137">
        <f>E30-вересень!E30</f>
        <v>5023.5</v>
      </c>
      <c r="N30" s="137">
        <f>F30-вересень!F30</f>
        <v>826.6900000000023</v>
      </c>
      <c r="O30" s="138">
        <f t="shared" si="3"/>
        <v>-4196.809999999998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E31-вересень!E31</f>
        <v>0</v>
      </c>
      <c r="N31" s="137">
        <f>F31-вересень!F31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5579.74</v>
      </c>
      <c r="G32" s="43">
        <f t="shared" si="0"/>
        <v>-179.5600000000004</v>
      </c>
      <c r="H32" s="35">
        <f t="shared" si="4"/>
        <v>96.88225999687461</v>
      </c>
      <c r="I32" s="50">
        <f t="shared" si="1"/>
        <v>-1920.2600000000002</v>
      </c>
      <c r="J32" s="178">
        <f t="shared" si="6"/>
        <v>74.39653333333332</v>
      </c>
      <c r="K32" s="178">
        <f>F32-7378.96</f>
        <v>-1799.2200000000003</v>
      </c>
      <c r="L32" s="178">
        <f>F32/7378.96*100</f>
        <v>75.61688910090311</v>
      </c>
      <c r="M32" s="35">
        <f>E32-вересень!E32</f>
        <v>6.900000000000546</v>
      </c>
      <c r="N32" s="35">
        <f>F32-вересень!F32</f>
        <v>0.5599999999994907</v>
      </c>
      <c r="O32" s="47">
        <f t="shared" si="3"/>
        <v>-6.340000000001055</v>
      </c>
      <c r="P32" s="50">
        <f t="shared" si="5"/>
        <v>8.115942028977484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33531.89</v>
      </c>
      <c r="G33" s="44">
        <f t="shared" si="0"/>
        <v>981.619999999999</v>
      </c>
      <c r="H33" s="45">
        <f aca="true" t="shared" si="7" ref="H33:H38">F33/E33*100</f>
        <v>103.01570463163591</v>
      </c>
      <c r="I33" s="31">
        <f t="shared" si="1"/>
        <v>-2107.6800000000003</v>
      </c>
      <c r="J33" s="31">
        <f t="shared" si="6"/>
        <v>94.08612393471638</v>
      </c>
      <c r="K33" s="18">
        <f>K34+K35+K36+K37+K38+K41+K42+K47+K48+K52+K40</f>
        <v>22743.72</v>
      </c>
      <c r="L33" s="18"/>
      <c r="M33" s="18">
        <f>M34+M35+M36+M37+M38+M41+M42+M47+M48+M52+M40+M39</f>
        <v>5900.27</v>
      </c>
      <c r="N33" s="18">
        <f>N34+N35+N36+N37+N38+N41+N42+N47+N48+N52+N40+N39</f>
        <v>5287.260000000001</v>
      </c>
      <c r="O33" s="49">
        <f t="shared" si="3"/>
        <v>-613.0099999999993</v>
      </c>
      <c r="P33" s="31">
        <f>N33/M33*100</f>
        <v>89.61047545281828</v>
      </c>
      <c r="Q33" s="31">
        <f>N33-1017.63</f>
        <v>4269.630000000001</v>
      </c>
      <c r="R33" s="127">
        <f>N33/1017.63</f>
        <v>5.195660505291708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E34-вересень!E34</f>
        <v>0</v>
      </c>
      <c r="N34" s="35">
        <f>F34-вересень!F34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328.12</v>
      </c>
      <c r="G36" s="43">
        <f t="shared" si="0"/>
        <v>88.12</v>
      </c>
      <c r="H36" s="35">
        <f t="shared" si="7"/>
        <v>136.71666666666667</v>
      </c>
      <c r="I36" s="50">
        <f t="shared" si="1"/>
        <v>88.12</v>
      </c>
      <c r="J36" s="50"/>
      <c r="K36" s="50">
        <f>F36-279.6</f>
        <v>48.51999999999998</v>
      </c>
      <c r="L36" s="50">
        <f>F36/279.6*100</f>
        <v>117.3533619456366</v>
      </c>
      <c r="M36" s="35">
        <f>E36-вересень!E36</f>
        <v>0</v>
      </c>
      <c r="N36" s="35">
        <f>F36-вересень!F36</f>
        <v>6.139999999999986</v>
      </c>
      <c r="O36" s="47">
        <f t="shared" si="3"/>
        <v>6.139999999999986</v>
      </c>
      <c r="P36" s="50"/>
      <c r="Q36" s="50">
        <f>N36-4.23</f>
        <v>1.909999999999986</v>
      </c>
      <c r="R36" s="126">
        <f>N36/4.23</f>
        <v>1.4515366430260013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117.45</v>
      </c>
      <c r="G38" s="43">
        <f t="shared" si="0"/>
        <v>-2.549999999999997</v>
      </c>
      <c r="H38" s="35">
        <f t="shared" si="7"/>
        <v>97.875</v>
      </c>
      <c r="I38" s="50">
        <f t="shared" si="1"/>
        <v>-22.549999999999997</v>
      </c>
      <c r="J38" s="50">
        <f t="shared" si="6"/>
        <v>83.89285714285715</v>
      </c>
      <c r="K38" s="50">
        <f>F38-112.45</f>
        <v>5</v>
      </c>
      <c r="L38" s="50">
        <f>F38/112.45*100</f>
        <v>104.44642063139173</v>
      </c>
      <c r="M38" s="35">
        <f>E38-вересень!E38</f>
        <v>15</v>
      </c>
      <c r="N38" s="35">
        <f>F38-вересень!F38</f>
        <v>0.3400000000000034</v>
      </c>
      <c r="O38" s="47">
        <f t="shared" si="3"/>
        <v>-14.659999999999997</v>
      </c>
      <c r="P38" s="50">
        <f>N38/M38*100</f>
        <v>2.2666666666666893</v>
      </c>
      <c r="Q38" s="50">
        <f>N38-9.02</f>
        <v>-8.679999999999996</v>
      </c>
      <c r="R38" s="126">
        <f>N38/9.02</f>
        <v>0.03769401330376978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E39-вересень!E39</f>
        <v>0</v>
      </c>
      <c r="N39" s="35">
        <f>F39-вересень!F39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7748.72</v>
      </c>
      <c r="G40" s="43">
        <f t="shared" si="0"/>
        <v>-1088.2799999999997</v>
      </c>
      <c r="H40" s="35">
        <f aca="true" t="shared" si="8" ref="H40:H46">F40/E40*100</f>
        <v>87.68496095960168</v>
      </c>
      <c r="I40" s="50">
        <f t="shared" si="1"/>
        <v>-1251.2799999999997</v>
      </c>
      <c r="J40" s="50"/>
      <c r="K40" s="50">
        <f>F40-0</f>
        <v>7748.72</v>
      </c>
      <c r="L40" s="50"/>
      <c r="M40" s="35">
        <f>E40-вересень!E40</f>
        <v>900</v>
      </c>
      <c r="N40" s="35">
        <f>F40-вересень!F40</f>
        <v>143.26000000000022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5805.1</v>
      </c>
      <c r="G42" s="43">
        <f t="shared" si="0"/>
        <v>-586.1999999999998</v>
      </c>
      <c r="H42" s="35">
        <f t="shared" si="8"/>
        <v>90.82815702595717</v>
      </c>
      <c r="I42" s="50">
        <f t="shared" si="1"/>
        <v>-1294.8999999999996</v>
      </c>
      <c r="J42" s="50">
        <f t="shared" si="6"/>
        <v>81.76197183098593</v>
      </c>
      <c r="K42" s="50">
        <f>F42-865.17</f>
        <v>4939.93</v>
      </c>
      <c r="L42" s="50">
        <f>F42/865.17*100</f>
        <v>670.9779580891618</v>
      </c>
      <c r="M42" s="35">
        <f>E42-вересень!E42</f>
        <v>592.3000000000002</v>
      </c>
      <c r="N42" s="35">
        <f>F42-вересень!F42</f>
        <v>83.15000000000055</v>
      </c>
      <c r="O42" s="47">
        <f t="shared" si="3"/>
        <v>-509.14999999999964</v>
      </c>
      <c r="P42" s="50">
        <f>N42/M42*100</f>
        <v>14.038494006415755</v>
      </c>
      <c r="Q42" s="50">
        <f>N42-79.51</f>
        <v>3.6400000000005406</v>
      </c>
      <c r="R42" s="126">
        <f>N42/79.51</f>
        <v>1.0457804049805124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814.88</v>
      </c>
      <c r="G43" s="135">
        <f t="shared" si="0"/>
        <v>-95.12</v>
      </c>
      <c r="H43" s="35">
        <f t="shared" si="8"/>
        <v>89.54725274725274</v>
      </c>
      <c r="I43" s="136">
        <f t="shared" si="1"/>
        <v>-285.12</v>
      </c>
      <c r="J43" s="136">
        <f t="shared" si="6"/>
        <v>74.08</v>
      </c>
      <c r="K43" s="136">
        <f>F43-757.36</f>
        <v>57.51999999999998</v>
      </c>
      <c r="L43" s="136">
        <f>F43/757.36*100</f>
        <v>107.59480299989437</v>
      </c>
      <c r="M43" s="137">
        <f>E43-вересень!E43</f>
        <v>70</v>
      </c>
      <c r="N43" s="137">
        <f>F43-вересень!F43</f>
        <v>13.039999999999964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44.07</v>
      </c>
      <c r="G44" s="135">
        <f t="shared" si="0"/>
        <v>-25.93</v>
      </c>
      <c r="H44" s="35">
        <f t="shared" si="8"/>
        <v>62.957142857142856</v>
      </c>
      <c r="I44" s="136">
        <f t="shared" si="1"/>
        <v>-35.93</v>
      </c>
      <c r="J44" s="136"/>
      <c r="K44" s="136">
        <f>F44-0</f>
        <v>44.07</v>
      </c>
      <c r="L44" s="136"/>
      <c r="M44" s="137">
        <f>E44-вересень!E44</f>
        <v>10</v>
      </c>
      <c r="N44" s="137">
        <f>F44-вересень!F44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4945.4</v>
      </c>
      <c r="G46" s="135">
        <f t="shared" si="0"/>
        <v>-464.60000000000036</v>
      </c>
      <c r="H46" s="35">
        <f t="shared" si="8"/>
        <v>91.41219963031423</v>
      </c>
      <c r="I46" s="136">
        <f t="shared" si="1"/>
        <v>-972.6000000000004</v>
      </c>
      <c r="J46" s="136">
        <f t="shared" si="6"/>
        <v>83.5653937140926</v>
      </c>
      <c r="K46" s="136">
        <f>F46-107.81</f>
        <v>4837.589999999999</v>
      </c>
      <c r="L46" s="136">
        <f>F46/107.81*100</f>
        <v>4587.144049717094</v>
      </c>
      <c r="M46" s="137">
        <f>E46-вересень!E46</f>
        <v>512</v>
      </c>
      <c r="N46" s="137">
        <f>F46-вересень!F46</f>
        <v>70.10999999999967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3637.17</v>
      </c>
      <c r="G48" s="43">
        <f t="shared" si="0"/>
        <v>187.17000000000007</v>
      </c>
      <c r="H48" s="35">
        <f>F48/E48*100</f>
        <v>105.42521739130434</v>
      </c>
      <c r="I48" s="50">
        <f t="shared" si="1"/>
        <v>-562.8299999999999</v>
      </c>
      <c r="J48" s="50">
        <f>F48/D48*100</f>
        <v>86.59928571428571</v>
      </c>
      <c r="K48" s="50">
        <f>F48-3446.94</f>
        <v>190.23000000000002</v>
      </c>
      <c r="L48" s="50">
        <f>F48/3446.94*100</f>
        <v>105.51880798621387</v>
      </c>
      <c r="M48" s="35">
        <f>E48-вересень!E48</f>
        <v>360</v>
      </c>
      <c r="N48" s="35">
        <f>F48-вересень!F48</f>
        <v>65.72000000000025</v>
      </c>
      <c r="O48" s="47">
        <f t="shared" si="3"/>
        <v>-294.27999999999975</v>
      </c>
      <c r="P48" s="50">
        <f aca="true" t="shared" si="9" ref="P48:P53">N48/M48*100</f>
        <v>18.255555555555627</v>
      </c>
      <c r="Q48" s="50">
        <f>N48-277.38</f>
        <v>-211.65999999999974</v>
      </c>
      <c r="R48" s="126">
        <f>N48/277.38</f>
        <v>0.23693128560098153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987.5</v>
      </c>
      <c r="G51" s="135">
        <f t="shared" si="0"/>
        <v>987.5</v>
      </c>
      <c r="H51" s="137"/>
      <c r="I51" s="136">
        <f t="shared" si="1"/>
        <v>987.5</v>
      </c>
      <c r="J51" s="136"/>
      <c r="K51" s="219">
        <f>F51-838.39</f>
        <v>149.11</v>
      </c>
      <c r="L51" s="219">
        <f>F51/838.39*100</f>
        <v>117.78527892746813</v>
      </c>
      <c r="M51" s="35">
        <f>E51-вересень!E51</f>
        <v>0</v>
      </c>
      <c r="N51" s="35">
        <f>F51-вересень!F51</f>
        <v>8.299999999999955</v>
      </c>
      <c r="O51" s="138">
        <f t="shared" si="3"/>
        <v>8.299999999999955</v>
      </c>
      <c r="P51" s="136"/>
      <c r="Q51" s="50">
        <f>N51-64.93</f>
        <v>-56.63000000000005</v>
      </c>
      <c r="R51" s="126">
        <f>N51/64.93</f>
        <v>0.12782997073771682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18.42</v>
      </c>
      <c r="G53" s="43">
        <f t="shared" si="0"/>
        <v>-3.1799999999999997</v>
      </c>
      <c r="H53" s="35">
        <f>F53/E53*100</f>
        <v>85.27777777777777</v>
      </c>
      <c r="I53" s="50">
        <f t="shared" si="1"/>
        <v>-8.079999999999998</v>
      </c>
      <c r="J53" s="50">
        <f>F53/D53*100</f>
        <v>69.50943396226415</v>
      </c>
      <c r="K53" s="50">
        <f>F53-21.71</f>
        <v>-3.289999999999999</v>
      </c>
      <c r="L53" s="50">
        <f>F53/21.71*100</f>
        <v>84.84569322892676</v>
      </c>
      <c r="M53" s="35">
        <f>E53-вересень!E53</f>
        <v>2.200000000000003</v>
      </c>
      <c r="N53" s="35">
        <f>F53-вересень!F53</f>
        <v>4.000000000000002</v>
      </c>
      <c r="O53" s="47">
        <f t="shared" si="3"/>
        <v>1.799999999999999</v>
      </c>
      <c r="P53" s="50">
        <f t="shared" si="9"/>
        <v>181.81818181818164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519446.3900000001</v>
      </c>
      <c r="G55" s="44">
        <f>F55-E55</f>
        <v>-16650.949999999895</v>
      </c>
      <c r="H55" s="45">
        <f>F55/E55*100</f>
        <v>96.89404353321359</v>
      </c>
      <c r="I55" s="31">
        <f>F55-D55</f>
        <v>-88508.67999999988</v>
      </c>
      <c r="J55" s="31">
        <f>F55/D55*100</f>
        <v>85.44157547695097</v>
      </c>
      <c r="K55" s="31">
        <f>K8+K33+K53+K54</f>
        <v>107411.34800000004</v>
      </c>
      <c r="L55" s="31">
        <f>F55/(F55-K55)*100</f>
        <v>126.06849831961624</v>
      </c>
      <c r="M55" s="18">
        <f>M8+M33+M53+M54</f>
        <v>50675.44</v>
      </c>
      <c r="N55" s="18">
        <f>N8+N33+N53+N54</f>
        <v>10307.780000000057</v>
      </c>
      <c r="O55" s="49">
        <f>N55-M55</f>
        <v>-40367.659999999945</v>
      </c>
      <c r="P55" s="31">
        <f>N55/M55*100</f>
        <v>20.340780464856458</v>
      </c>
      <c r="Q55" s="31">
        <f>N55-34768</f>
        <v>-24460.219999999943</v>
      </c>
      <c r="R55" s="171">
        <f>N55/34768</f>
        <v>0.29647319374137304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F61-263.25</f>
        <v>-314.95</v>
      </c>
      <c r="L61" s="53"/>
      <c r="M61" s="35">
        <v>0</v>
      </c>
      <c r="N61" s="36">
        <f>F61-вересень!F61</f>
        <v>0</v>
      </c>
      <c r="O61" s="47">
        <f aca="true" t="shared" si="12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-314.95</v>
      </c>
      <c r="L62" s="54"/>
      <c r="M62" s="55">
        <f>M61</f>
        <v>0</v>
      </c>
      <c r="N62" s="33">
        <f>SUM(N60:N61)</f>
        <v>0</v>
      </c>
      <c r="O62" s="54">
        <f t="shared" si="12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F64-1754.79</f>
        <v>-1161.69</v>
      </c>
      <c r="L64" s="53">
        <f>F64/1754.79*100</f>
        <v>33.79891610961996</v>
      </c>
      <c r="M64" s="35">
        <f>E64-вересень!E64</f>
        <v>0</v>
      </c>
      <c r="N64" s="35">
        <f>F64-вересень!F64</f>
        <v>0</v>
      </c>
      <c r="O64" s="47">
        <f t="shared" si="12"/>
        <v>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3987.63</v>
      </c>
      <c r="G65" s="43">
        <f t="shared" si="10"/>
        <v>-2748.3499999999995</v>
      </c>
      <c r="H65" s="35">
        <f>F65/E65*100</f>
        <v>59.19895842921149</v>
      </c>
      <c r="I65" s="53">
        <f t="shared" si="11"/>
        <v>-7588.37</v>
      </c>
      <c r="J65" s="53">
        <f t="shared" si="13"/>
        <v>34.447391154111955</v>
      </c>
      <c r="K65" s="53">
        <f>F65-2762.1</f>
        <v>1225.5300000000002</v>
      </c>
      <c r="L65" s="53">
        <f>F65/2762.1*100</f>
        <v>144.36950146627566</v>
      </c>
      <c r="M65" s="35">
        <f>E65-вересень!E65</f>
        <v>1273.8199999999997</v>
      </c>
      <c r="N65" s="35">
        <f>F65-вересень!F65</f>
        <v>0</v>
      </c>
      <c r="O65" s="47">
        <f t="shared" si="12"/>
        <v>-1273.8199999999997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1859.08</v>
      </c>
      <c r="G66" s="43">
        <f t="shared" si="10"/>
        <v>526.1799999999998</v>
      </c>
      <c r="H66" s="35">
        <f>F66/E66*100</f>
        <v>139.4763298071873</v>
      </c>
      <c r="I66" s="53">
        <f t="shared" si="11"/>
        <v>-1140.92</v>
      </c>
      <c r="J66" s="53">
        <f t="shared" si="13"/>
        <v>61.96933333333333</v>
      </c>
      <c r="K66" s="53">
        <f>F66-1134.02</f>
        <v>725.06</v>
      </c>
      <c r="L66" s="53">
        <f>F66/1134.02*100</f>
        <v>163.93714396571488</v>
      </c>
      <c r="M66" s="35">
        <f>E66-вересень!E66</f>
        <v>148.10000000000014</v>
      </c>
      <c r="N66" s="35">
        <f>F66-вересень!F66</f>
        <v>0</v>
      </c>
      <c r="O66" s="47">
        <f t="shared" si="12"/>
        <v>-148.10000000000014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6439.81</v>
      </c>
      <c r="G67" s="55">
        <f t="shared" si="10"/>
        <v>-3229.069999999999</v>
      </c>
      <c r="H67" s="65">
        <f>F67/E67*100</f>
        <v>66.60347423900184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788.9000000000001</v>
      </c>
      <c r="L67" s="54"/>
      <c r="M67" s="55">
        <f>M64+M65+M66</f>
        <v>1421.9199999999998</v>
      </c>
      <c r="N67" s="55">
        <f>N64+N65+N66</f>
        <v>0</v>
      </c>
      <c r="O67" s="54">
        <f t="shared" si="12"/>
        <v>-1421.9199999999998</v>
      </c>
      <c r="P67" s="54">
        <f>N67/M67*100</f>
        <v>0</v>
      </c>
      <c r="Q67" s="54">
        <f>N67-7985.28</f>
        <v>-7985.28</v>
      </c>
      <c r="R67" s="173">
        <f>N67/7985.28</f>
        <v>0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F70-1.29</f>
        <v>-0.29000000000000004</v>
      </c>
      <c r="L70" s="53">
        <f>F70/1.29*100</f>
        <v>77.51937984496124</v>
      </c>
      <c r="M70" s="35">
        <f>E70-вересень!E70</f>
        <v>0</v>
      </c>
      <c r="N70" s="35">
        <f>F70-вересень!F70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1.35</v>
      </c>
      <c r="G71" s="55">
        <f>F71-E71</f>
        <v>-47.65</v>
      </c>
      <c r="H71" s="65">
        <f>F71/E71*100</f>
        <v>2.7551020408163267</v>
      </c>
      <c r="I71" s="54">
        <f>F71-D71</f>
        <v>-52.65</v>
      </c>
      <c r="J71" s="54">
        <f>F71/D71*100</f>
        <v>2.5</v>
      </c>
      <c r="K71" s="54">
        <f>K68+K69+K70</f>
        <v>-54.43</v>
      </c>
      <c r="L71" s="54"/>
      <c r="M71" s="55">
        <f>M68+M70+M69</f>
        <v>12</v>
      </c>
      <c r="N71" s="55">
        <f>N68+N70+N69</f>
        <v>0</v>
      </c>
      <c r="O71" s="54">
        <f>N71-M71</f>
        <v>-12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29.22</v>
      </c>
      <c r="G72" s="43">
        <f>F72-E72</f>
        <v>-4.200000000000003</v>
      </c>
      <c r="H72" s="35">
        <f>F72/E72*100</f>
        <v>87.4326750448833</v>
      </c>
      <c r="I72" s="53">
        <f>F72-D72</f>
        <v>-12.780000000000001</v>
      </c>
      <c r="J72" s="53">
        <f>F72/D72*100</f>
        <v>69.57142857142857</v>
      </c>
      <c r="K72" s="53">
        <f>F72-33.03</f>
        <v>-3.8100000000000023</v>
      </c>
      <c r="L72" s="53">
        <f>F72/33.03*100</f>
        <v>88.46503178928246</v>
      </c>
      <c r="M72" s="35">
        <f>E72-вересень!E72</f>
        <v>1.2000000000000028</v>
      </c>
      <c r="N72" s="35">
        <f>F72-вересень!F72</f>
        <v>0</v>
      </c>
      <c r="O72" s="47">
        <f>N72-M72</f>
        <v>-1.2000000000000028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6418.880000000001</v>
      </c>
      <c r="G74" s="44">
        <f>F74-E74</f>
        <v>-3332.4199999999983</v>
      </c>
      <c r="H74" s="45">
        <f>F74/E74*100</f>
        <v>65.82588988134917</v>
      </c>
      <c r="I74" s="31">
        <f>F74-D74</f>
        <v>-10753.119999999999</v>
      </c>
      <c r="J74" s="31">
        <f>F74/D74*100</f>
        <v>37.37992080130446</v>
      </c>
      <c r="K74" s="31">
        <f>K62+K67+K71+K72</f>
        <v>415.7100000000001</v>
      </c>
      <c r="L74" s="31"/>
      <c r="M74" s="27">
        <f>M62+M72+M67+M71</f>
        <v>1435.12</v>
      </c>
      <c r="N74" s="27">
        <f>N62+N72+N67+N71+N73</f>
        <v>0</v>
      </c>
      <c r="O74" s="31">
        <f>N74-M74</f>
        <v>-1435.12</v>
      </c>
      <c r="P74" s="31">
        <f>N74/M74*100</f>
        <v>0</v>
      </c>
      <c r="Q74" s="31">
        <f>N74-8104.96</f>
        <v>-8104.96</v>
      </c>
      <c r="R74" s="127">
        <f>N74/8104.96</f>
        <v>0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525865.27</v>
      </c>
      <c r="G75" s="44">
        <f>F75-E75</f>
        <v>-19983.369999999995</v>
      </c>
      <c r="H75" s="45">
        <f>F75/E75*100</f>
        <v>96.33902724388945</v>
      </c>
      <c r="I75" s="31">
        <f>F75-D75</f>
        <v>-99261.79999999993</v>
      </c>
      <c r="J75" s="31">
        <f>F75/D75*100</f>
        <v>84.12134032205645</v>
      </c>
      <c r="K75" s="31">
        <f>K55+K74</f>
        <v>107827.05800000005</v>
      </c>
      <c r="L75" s="31">
        <f>F75/(F75-K75)*100</f>
        <v>125.79358893631478</v>
      </c>
      <c r="M75" s="18">
        <f>M55+M74</f>
        <v>52110.560000000005</v>
      </c>
      <c r="N75" s="18">
        <f>N55+N74</f>
        <v>10307.780000000057</v>
      </c>
      <c r="O75" s="31">
        <f>N75-M75</f>
        <v>-41802.77999999995</v>
      </c>
      <c r="P75" s="31">
        <f>N75/M75*100</f>
        <v>19.78059725322479</v>
      </c>
      <c r="Q75" s="31">
        <f>N75-42872.96</f>
        <v>-32565.179999999942</v>
      </c>
      <c r="R75" s="127">
        <f>N75/42872.96</f>
        <v>0.24042613339503635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17</v>
      </c>
      <c r="D77" s="4" t="s">
        <v>118</v>
      </c>
    </row>
    <row r="78" spans="2:17" ht="31.5">
      <c r="B78" s="71" t="s">
        <v>154</v>
      </c>
      <c r="C78" s="34">
        <f>IF(O55&lt;0,ABS(O55/C77),0)</f>
        <v>2374.5682352941144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42283</v>
      </c>
      <c r="D79" s="34">
        <v>1905.5</v>
      </c>
      <c r="G79" s="4" t="s">
        <v>166</v>
      </c>
      <c r="N79" s="236"/>
      <c r="O79" s="236"/>
    </row>
    <row r="80" spans="3:15" ht="15.75">
      <c r="C80" s="111">
        <v>42282</v>
      </c>
      <c r="D80" s="34">
        <v>1829.2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42279</v>
      </c>
      <c r="D81" s="34">
        <v>1663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2907.8725600000002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3" right="0.23" top="0.36" bottom="0.39" header="0.24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80" t="s">
        <v>174</v>
      </c>
      <c r="I4" s="278" t="s">
        <v>217</v>
      </c>
      <c r="J4" s="276" t="s">
        <v>218</v>
      </c>
      <c r="K4" s="116" t="s">
        <v>172</v>
      </c>
      <c r="L4" s="121" t="s">
        <v>171</v>
      </c>
      <c r="M4" s="241"/>
      <c r="N4" s="226" t="s">
        <v>194</v>
      </c>
      <c r="O4" s="278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81"/>
      <c r="I5" s="279"/>
      <c r="J5" s="277"/>
      <c r="K5" s="238" t="s">
        <v>188</v>
      </c>
      <c r="L5" s="239"/>
      <c r="M5" s="242"/>
      <c r="N5" s="227"/>
      <c r="O5" s="279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4" t="s">
        <v>161</v>
      </c>
      <c r="K104" s="274"/>
      <c r="L104" s="274"/>
      <c r="M104" s="274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75" t="s">
        <v>162</v>
      </c>
      <c r="K105" s="275"/>
      <c r="L105" s="275"/>
      <c r="M105" s="275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4" t="s">
        <v>163</v>
      </c>
      <c r="K106" s="274"/>
      <c r="L106" s="274"/>
      <c r="M106" s="274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4" t="s">
        <v>164</v>
      </c>
      <c r="K107" s="274"/>
      <c r="L107" s="274"/>
      <c r="M107" s="274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80" t="s">
        <v>174</v>
      </c>
      <c r="I4" s="278" t="s">
        <v>186</v>
      </c>
      <c r="J4" s="276" t="s">
        <v>189</v>
      </c>
      <c r="K4" s="116" t="s">
        <v>172</v>
      </c>
      <c r="L4" s="121" t="s">
        <v>171</v>
      </c>
      <c r="M4" s="241"/>
      <c r="N4" s="226" t="s">
        <v>194</v>
      </c>
      <c r="O4" s="278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81"/>
      <c r="I5" s="279"/>
      <c r="J5" s="277"/>
      <c r="K5" s="238" t="s">
        <v>188</v>
      </c>
      <c r="L5" s="239"/>
      <c r="M5" s="242"/>
      <c r="N5" s="227"/>
      <c r="O5" s="279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4" t="s">
        <v>161</v>
      </c>
      <c r="K139" s="274"/>
      <c r="L139" s="274"/>
      <c r="M139" s="274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75" t="s">
        <v>162</v>
      </c>
      <c r="K140" s="275"/>
      <c r="L140" s="275"/>
      <c r="M140" s="275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4" t="s">
        <v>163</v>
      </c>
      <c r="K141" s="274"/>
      <c r="L141" s="274"/>
      <c r="M141" s="274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4" t="s">
        <v>164</v>
      </c>
      <c r="K142" s="274"/>
      <c r="L142" s="274"/>
      <c r="M142" s="274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2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19" sqref="G19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303</v>
      </c>
      <c r="N3" s="262" t="s">
        <v>304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298</v>
      </c>
      <c r="F4" s="245" t="s">
        <v>116</v>
      </c>
      <c r="G4" s="247" t="s">
        <v>299</v>
      </c>
      <c r="H4" s="249" t="s">
        <v>300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306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302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88.60000000000002</v>
      </c>
      <c r="O51" s="138">
        <f t="shared" si="3"/>
        <v>88.60000000000002</v>
      </c>
      <c r="P51" s="136"/>
      <c r="Q51" s="50">
        <f>N51-64.93</f>
        <v>23.670000000000016</v>
      </c>
      <c r="R51" s="126">
        <f>N51/64.93</f>
        <v>1.3645464346219007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36"/>
      <c r="O79" s="236"/>
    </row>
    <row r="80" spans="3:15" ht="15.75">
      <c r="C80" s="111">
        <v>42276</v>
      </c>
      <c r="D80" s="34">
        <v>6511.1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42275</v>
      </c>
      <c r="D81" s="34">
        <v>4229.6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f>1507100.82/1000</f>
        <v>1507.10082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20" sqref="F20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45" t="s">
        <v>116</v>
      </c>
      <c r="G4" s="247" t="s">
        <v>292</v>
      </c>
      <c r="H4" s="249" t="s">
        <v>301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297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295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890.6</v>
      </c>
      <c r="G51" s="135">
        <f t="shared" si="0"/>
        <v>890.6</v>
      </c>
      <c r="H51" s="137"/>
      <c r="I51" s="136">
        <f t="shared" si="1"/>
        <v>890.6</v>
      </c>
      <c r="J51" s="136"/>
      <c r="K51" s="219">
        <f>F51-635.8</f>
        <v>254.80000000000007</v>
      </c>
      <c r="L51" s="219">
        <f>F51/635.8*100</f>
        <v>140.07549543881726</v>
      </c>
      <c r="M51" s="137">
        <f>E51-липень!E51</f>
        <v>0</v>
      </c>
      <c r="N51" s="137">
        <f>F51-липень!F51</f>
        <v>207.39999999999998</v>
      </c>
      <c r="O51" s="138">
        <f t="shared" si="3"/>
        <v>207.39999999999998</v>
      </c>
      <c r="P51" s="136"/>
      <c r="Q51" s="50">
        <f>N51-64.93</f>
        <v>142.46999999999997</v>
      </c>
      <c r="R51" s="126">
        <f>N51/64.93</f>
        <v>3.194209148313568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G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8" t="s">
        <v>280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9" t="s">
        <v>116</v>
      </c>
      <c r="G4" s="247" t="s">
        <v>275</v>
      </c>
      <c r="H4" s="249" t="s">
        <v>276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281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0"/>
      <c r="G5" s="248"/>
      <c r="H5" s="250"/>
      <c r="I5" s="243"/>
      <c r="J5" s="242"/>
      <c r="K5" s="238" t="s">
        <v>288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273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260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236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226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2015-10-07T09:18:54Z</cp:lastPrinted>
  <dcterms:created xsi:type="dcterms:W3CDTF">2003-07-28T11:27:56Z</dcterms:created>
  <dcterms:modified xsi:type="dcterms:W3CDTF">2015-10-07T09:28:09Z</dcterms:modified>
  <cp:category/>
  <cp:version/>
  <cp:contentType/>
  <cp:contentStatus/>
</cp:coreProperties>
</file>